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1"/>
  </bookViews>
  <sheets>
    <sheet name="на 01.04.2017" sheetId="4" r:id="rId1"/>
    <sheet name="на 01.07.2017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D17" i="4" l="1"/>
  <c r="K16" i="4"/>
  <c r="K38" i="4" s="1"/>
  <c r="J16" i="4"/>
  <c r="J38" i="4" s="1"/>
  <c r="I16" i="4"/>
  <c r="I38" i="4" s="1"/>
  <c r="H16" i="4"/>
  <c r="H38" i="4" s="1"/>
  <c r="G16" i="4"/>
  <c r="G38" i="4" s="1"/>
  <c r="F16" i="4"/>
  <c r="F38" i="4" s="1"/>
  <c r="E16" i="4"/>
  <c r="E38" i="4" s="1"/>
  <c r="D16" i="4"/>
  <c r="D38" i="4" s="1"/>
  <c r="I15" i="4"/>
  <c r="H15" i="4"/>
  <c r="G15" i="4"/>
  <c r="F15" i="4"/>
  <c r="E15" i="4"/>
  <c r="D15" i="4"/>
  <c r="K14" i="4"/>
  <c r="J14" i="4"/>
  <c r="I14" i="4"/>
  <c r="H14" i="4"/>
  <c r="G14" i="4"/>
  <c r="F14" i="4"/>
  <c r="E14" i="4"/>
  <c r="D14" i="4"/>
  <c r="K13" i="4"/>
  <c r="J13" i="4"/>
  <c r="I13" i="4"/>
  <c r="H13" i="4"/>
  <c r="G13" i="4"/>
  <c r="F13" i="4"/>
  <c r="E13" i="4"/>
  <c r="D13" i="4"/>
  <c r="K12" i="4"/>
  <c r="J12" i="4"/>
  <c r="I12" i="4"/>
  <c r="H12" i="4"/>
  <c r="G12" i="4"/>
  <c r="F12" i="4"/>
  <c r="E12" i="4"/>
  <c r="D12" i="4"/>
  <c r="K11" i="4"/>
  <c r="J11" i="4"/>
  <c r="I11" i="4"/>
  <c r="H11" i="4"/>
  <c r="G11" i="4"/>
  <c r="F11" i="4"/>
  <c r="E11" i="4"/>
  <c r="D11" i="4"/>
  <c r="K10" i="4"/>
  <c r="J10" i="4"/>
  <c r="I10" i="4"/>
  <c r="H10" i="4"/>
  <c r="G10" i="4"/>
  <c r="F10" i="4"/>
  <c r="E10" i="4"/>
  <c r="D10" i="4"/>
  <c r="K9" i="4"/>
  <c r="J9" i="4"/>
  <c r="I9" i="4"/>
  <c r="H9" i="4"/>
  <c r="G9" i="4"/>
  <c r="F9" i="4"/>
  <c r="E9" i="4"/>
  <c r="D9" i="4"/>
  <c r="K8" i="4"/>
  <c r="J8" i="4"/>
  <c r="I8" i="4"/>
  <c r="H8" i="4"/>
  <c r="G8" i="4"/>
  <c r="F8" i="4"/>
  <c r="E8" i="4"/>
  <c r="D8" i="4"/>
  <c r="D7" i="4"/>
  <c r="K6" i="4"/>
  <c r="K37" i="4" s="1"/>
  <c r="J6" i="4"/>
  <c r="J37" i="4" s="1"/>
  <c r="I6" i="4"/>
  <c r="I7" i="4" s="1"/>
  <c r="H6" i="4"/>
  <c r="H7" i="4" s="1"/>
  <c r="G6" i="4"/>
  <c r="G37" i="4" s="1"/>
  <c r="F6" i="4"/>
  <c r="F37" i="4" s="1"/>
  <c r="E6" i="4"/>
  <c r="E7" i="4" s="1"/>
  <c r="D6" i="4"/>
  <c r="D37" i="4" s="1"/>
  <c r="F7" i="4" l="1"/>
  <c r="H17" i="4"/>
  <c r="D33" i="4"/>
  <c r="D34" i="4" s="1"/>
  <c r="H33" i="4"/>
  <c r="H37" i="4"/>
  <c r="G7" i="4"/>
  <c r="K7" i="4"/>
  <c r="E17" i="4"/>
  <c r="I17" i="4"/>
  <c r="E33" i="4"/>
  <c r="I33" i="4"/>
  <c r="I34" i="4" s="1"/>
  <c r="E37" i="4"/>
  <c r="I37" i="4"/>
  <c r="J7" i="4"/>
  <c r="F17" i="4"/>
  <c r="J17" i="4"/>
  <c r="F33" i="4"/>
  <c r="J33" i="4"/>
  <c r="J34" i="4" s="1"/>
  <c r="G17" i="4"/>
  <c r="K17" i="4"/>
  <c r="G33" i="4"/>
  <c r="G34" i="4" s="1"/>
  <c r="K33" i="4"/>
  <c r="K34" i="4" s="1"/>
  <c r="I30" i="1"/>
  <c r="I27" i="1"/>
  <c r="I24" i="1"/>
  <c r="I21" i="1"/>
  <c r="I20" i="1"/>
  <c r="I18" i="1"/>
  <c r="I15" i="1"/>
  <c r="I14" i="1"/>
  <c r="I11" i="1"/>
  <c r="E34" i="4" l="1"/>
  <c r="F34" i="4"/>
  <c r="H34" i="4"/>
  <c r="D17" i="1"/>
  <c r="D7" i="1"/>
  <c r="E16" i="1" l="1"/>
  <c r="F16" i="1"/>
  <c r="G16" i="1"/>
  <c r="H16" i="1"/>
  <c r="I16" i="1"/>
  <c r="J16" i="1"/>
  <c r="K16" i="1"/>
  <c r="D16" i="1"/>
  <c r="D38" i="1" s="1"/>
  <c r="J14" i="1"/>
  <c r="K14" i="1"/>
  <c r="H15" i="1"/>
  <c r="H14" i="1"/>
  <c r="G15" i="1"/>
  <c r="G14" i="1"/>
  <c r="G13" i="1"/>
  <c r="F15" i="1"/>
  <c r="F14" i="1"/>
  <c r="F13" i="1"/>
  <c r="E15" i="1"/>
  <c r="D13" i="1"/>
  <c r="E13" i="1"/>
  <c r="E14" i="1"/>
  <c r="D15" i="1"/>
  <c r="D14" i="1"/>
  <c r="K13" i="1"/>
  <c r="J13" i="1"/>
  <c r="I13" i="1"/>
  <c r="H13" i="1"/>
  <c r="K12" i="1"/>
  <c r="J12" i="1"/>
  <c r="I12" i="1"/>
  <c r="H12" i="1"/>
  <c r="G12" i="1"/>
  <c r="F12" i="1"/>
  <c r="E12" i="1"/>
  <c r="D12" i="1"/>
  <c r="K11" i="1"/>
  <c r="J11" i="1"/>
  <c r="H11" i="1"/>
  <c r="G11" i="1"/>
  <c r="F11" i="1"/>
  <c r="E11" i="1"/>
  <c r="D11" i="1"/>
  <c r="I38" i="1" l="1"/>
  <c r="I17" i="1"/>
  <c r="H38" i="1"/>
  <c r="H17" i="1"/>
  <c r="K17" i="1"/>
  <c r="K38" i="1"/>
  <c r="G17" i="1"/>
  <c r="G38" i="1"/>
  <c r="J17" i="1"/>
  <c r="J38" i="1"/>
  <c r="F17" i="1"/>
  <c r="F38" i="1"/>
  <c r="E38" i="1"/>
  <c r="E17" i="1"/>
  <c r="K10" i="1"/>
  <c r="J10" i="1"/>
  <c r="I10" i="1"/>
  <c r="H10" i="1"/>
  <c r="G10" i="1"/>
  <c r="F10" i="1"/>
  <c r="E10" i="1"/>
  <c r="D10" i="1"/>
  <c r="K9" i="1"/>
  <c r="K8" i="1" s="1"/>
  <c r="K6" i="1" s="1"/>
  <c r="K33" i="1" s="1"/>
  <c r="J9" i="1"/>
  <c r="J8" i="1" s="1"/>
  <c r="J6" i="1" s="1"/>
  <c r="I9" i="1"/>
  <c r="I8" i="1" s="1"/>
  <c r="I6" i="1" s="1"/>
  <c r="I33" i="1" s="1"/>
  <c r="H9" i="1"/>
  <c r="H8" i="1" s="1"/>
  <c r="H6" i="1" s="1"/>
  <c r="G9" i="1"/>
  <c r="G8" i="1" s="1"/>
  <c r="G6" i="1" s="1"/>
  <c r="G33" i="1" s="1"/>
  <c r="F9" i="1"/>
  <c r="F8" i="1" s="1"/>
  <c r="F6" i="1" s="1"/>
  <c r="E9" i="1"/>
  <c r="E8" i="1" s="1"/>
  <c r="E6" i="1" s="1"/>
  <c r="D9" i="1"/>
  <c r="I34" i="1" l="1"/>
  <c r="E37" i="1"/>
  <c r="E33" i="1"/>
  <c r="F37" i="1"/>
  <c r="F7" i="1"/>
  <c r="F33" i="1"/>
  <c r="D8" i="1"/>
  <c r="D6" i="1" s="1"/>
  <c r="H37" i="1"/>
  <c r="H7" i="1"/>
  <c r="K37" i="1"/>
  <c r="K7" i="1"/>
  <c r="J37" i="1"/>
  <c r="J7" i="1"/>
  <c r="G34" i="1"/>
  <c r="G37" i="1"/>
  <c r="G7" i="1"/>
  <c r="J33" i="1"/>
  <c r="H33" i="1"/>
  <c r="H34" i="1" s="1"/>
  <c r="I37" i="1"/>
  <c r="I7" i="1"/>
  <c r="D37" i="1" l="1"/>
  <c r="D33" i="1"/>
  <c r="D34" i="1" s="1"/>
  <c r="J34" i="1"/>
  <c r="K34" i="1"/>
  <c r="F34" i="1"/>
  <c r="E7" i="1"/>
  <c r="E34" i="1" l="1"/>
</calcChain>
</file>

<file path=xl/sharedStrings.xml><?xml version="1.0" encoding="utf-8"?>
<sst xmlns="http://schemas.openxmlformats.org/spreadsheetml/2006/main" count="168" uniqueCount="53">
  <si>
    <t>Показатели</t>
  </si>
  <si>
    <t>Население (среднегодовая)</t>
  </si>
  <si>
    <t>Сельское население (среднегодовая)</t>
  </si>
  <si>
    <t>Доходы, в т.ч.</t>
  </si>
  <si>
    <t>Налоговые доходы, в т.ч.</t>
  </si>
  <si>
    <t>Налог на доходы физических лиц</t>
  </si>
  <si>
    <t>Акцизы</t>
  </si>
  <si>
    <t>Налог на имущество физических лиц</t>
  </si>
  <si>
    <t>Земельный налог</t>
  </si>
  <si>
    <t>Прочие налоговые доходы</t>
  </si>
  <si>
    <t>Неналоговые доходы</t>
  </si>
  <si>
    <t>Безвозмездные поступления</t>
  </si>
  <si>
    <t>Расходы, в т.ч.</t>
  </si>
  <si>
    <t>Общегосударственные вопросы</t>
  </si>
  <si>
    <t>Национальная оборона,</t>
  </si>
  <si>
    <t>Национальная безопасность и правоохранительная деятельность</t>
  </si>
  <si>
    <t>Национальная экономика в т.ч. </t>
  </si>
  <si>
    <t>Расходы бюджета на поддержку малого предпринимательства</t>
  </si>
  <si>
    <t>Расходы бюджета на поддержку агропромышленного комплекса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</si>
  <si>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</si>
  <si>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</si>
  <si>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</si>
  <si>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</si>
  <si>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</si>
  <si>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</si>
  <si>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</si>
  <si>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</si>
  <si>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</si>
  <si>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Дефицит/Профицит </t>
  </si>
  <si>
    <t>Муниципальный долг на конец отчетного периода</t>
  </si>
  <si>
    <t>Доходы консолидированного бюджета на душу населения</t>
  </si>
  <si>
    <t>Расходы консолидированного бюджета на душу населения</t>
  </si>
  <si>
    <t>Единица измерения</t>
  </si>
  <si>
    <t>темп роста к предыдущему году, %</t>
  </si>
  <si>
    <t>изменение муниципального долга к предыдущему году (+,-), млн.рублей</t>
  </si>
  <si>
    <t>тыс. рублей</t>
  </si>
  <si>
    <t>рублей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</si>
  <si>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</si>
  <si>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</si>
  <si>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</si>
  <si>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</si>
  <si>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</si>
  <si>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</si>
  <si>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</si>
  <si>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Прогноз</t>
  </si>
  <si>
    <t>первоначальный план</t>
  </si>
  <si>
    <t>Среднемесячная заработная плата в органах власти (Государственное управление общего и социально-экономического характера)</t>
  </si>
  <si>
    <t>Среднемесячная заработная плата  в организациях отдыха и развлечений, культуры и спорта</t>
  </si>
  <si>
    <t>изменение дефицита к предыдущему году (+;-), тыс. рублей </t>
  </si>
  <si>
    <t>человек</t>
  </si>
  <si>
    <t>Среднемесячная заработная плата в целом по сельскому поселению</t>
  </si>
  <si>
    <t>уточненный план на 01.07.2017</t>
  </si>
  <si>
    <t>уточненный план на 01.04.2017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</si>
</sst>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.5"/>
      <color rgb="FF333333"/>
      <name val="Verdana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mbria"/>
      <family val="1"/>
      <charset val="204"/>
    </font>
    <font>
      <sz val="11"/>
      <color theme="1"/>
      <name val="Cambria"/>
      <family val="1"/>
      <charset val="204"/>
      <scheme val="major"/>
    </font>
    <font>
      <sz val="11"/>
      <name val="Times New Roman"/>
      <family val="1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/>
    <xf numFmtId="164" fontId="2" fillId="0" borderId="1" xfId="0" applyNumberFormat="1" applyFont="1" applyBorder="1" applyAlignment="1">
      <alignment wrapText="1"/>
    </xf>
    <xf numFmtId="164" fontId="5" fillId="0" borderId="1" xfId="1" applyNumberFormat="1" applyFont="1" applyFill="1" applyBorder="1" applyAlignment="1">
      <alignment horizontal="right" wrapText="1"/>
    </xf>
    <xf numFmtId="3" fontId="6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/>
    <xf numFmtId="3" fontId="5" fillId="0" borderId="1" xfId="1" applyNumberFormat="1" applyFont="1" applyFill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Fill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2" fontId="7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righ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1"/>
  <sheetViews>
    <sheetView workbookViewId="0">
      <selection activeCell="D23" sqref="D23"/>
    </sheetView>
  </sheetViews>
  <sheetFormatPr defaultRowHeight="15" x14ac:dyDescent="0.25"/>
  <cols>
    <col min="1" max="1" width="3.5703125" customWidth="1"/>
    <col min="2" max="2" width="47.7109375" customWidth="1"/>
    <col min="3" max="3" width="27.85546875" customWidth="1"/>
    <col min="4" max="7" width="10.85546875" customWidth="1"/>
    <col min="8" max="9" width="14.7109375" customWidth="1"/>
    <col min="10" max="11" width="9.85546875" bestFit="1" customWidth="1"/>
  </cols>
  <sheetData>
    <row r="2" spans="2:12" ht="27" x14ac:dyDescent="0.25">
      <c r="B2" s="28" t="s">
        <v>0</v>
      </c>
      <c r="C2" s="28" t="s">
        <v>32</v>
      </c>
      <c r="D2" s="28" t="s">
        <v>37</v>
      </c>
      <c r="E2" s="28" t="s">
        <v>38</v>
      </c>
      <c r="F2" s="28" t="s">
        <v>39</v>
      </c>
      <c r="G2" s="28" t="s">
        <v>40</v>
      </c>
      <c r="H2" s="28" t="s">
        <v>41</v>
      </c>
      <c r="I2" s="28"/>
      <c r="J2" s="25" t="s">
        <v>42</v>
      </c>
      <c r="K2" s="25" t="s">
        <v>43</v>
      </c>
      <c r="L2" s="29"/>
    </row>
    <row r="3" spans="2:12" ht="46.5" customHeight="1" x14ac:dyDescent="0.25">
      <c r="B3" s="28"/>
      <c r="C3" s="28"/>
      <c r="D3" s="28"/>
      <c r="E3" s="28"/>
      <c r="F3" s="28"/>
      <c r="G3" s="28"/>
      <c r="H3" s="25" t="s">
        <v>45</v>
      </c>
      <c r="I3" s="25" t="s">
        <v>52</v>
      </c>
      <c r="J3" s="28" t="s">
        <v>44</v>
      </c>
      <c r="K3" s="28"/>
      <c r="L3" s="29"/>
    </row>
    <row r="4" spans="2:12" x14ac:dyDescent="0.25">
      <c r="B4" s="24" t="s">
        <v>1</v>
      </c>
      <c r="C4" s="24" t="s">
        <v>49</v>
      </c>
      <c r="D4" s="16">
        <v>5158</v>
      </c>
      <c r="E4" s="17">
        <v>5221</v>
      </c>
      <c r="F4" s="17">
        <v>5076</v>
      </c>
      <c r="G4" s="17">
        <v>5062</v>
      </c>
      <c r="H4" s="17">
        <v>5064</v>
      </c>
      <c r="I4" s="17">
        <v>5064</v>
      </c>
      <c r="J4" s="17">
        <v>5064</v>
      </c>
      <c r="K4" s="17">
        <v>5064</v>
      </c>
    </row>
    <row r="5" spans="2:12" ht="16.5" customHeight="1" x14ac:dyDescent="0.25">
      <c r="B5" s="24" t="s">
        <v>2</v>
      </c>
      <c r="C5" s="24" t="s">
        <v>49</v>
      </c>
      <c r="D5" s="30"/>
      <c r="E5" s="5"/>
      <c r="F5" s="5"/>
      <c r="G5" s="5"/>
      <c r="H5" s="5"/>
      <c r="I5" s="5"/>
      <c r="J5" s="5"/>
      <c r="K5" s="5"/>
    </row>
    <row r="6" spans="2:12" ht="13.5" customHeight="1" x14ac:dyDescent="0.25">
      <c r="B6" s="27" t="s">
        <v>3</v>
      </c>
      <c r="C6" s="24" t="s">
        <v>35</v>
      </c>
      <c r="D6" s="8">
        <f>D8+D14+D15</f>
        <v>135771.5</v>
      </c>
      <c r="E6" s="8">
        <f t="shared" ref="E6:K6" si="0">E8+E14+E15</f>
        <v>131802.29999999999</v>
      </c>
      <c r="F6" s="8">
        <f t="shared" si="0"/>
        <v>120429.5</v>
      </c>
      <c r="G6" s="8">
        <f t="shared" si="0"/>
        <v>131127</v>
      </c>
      <c r="H6" s="8">
        <f t="shared" si="0"/>
        <v>93083.4</v>
      </c>
      <c r="I6" s="8">
        <f t="shared" si="0"/>
        <v>99138</v>
      </c>
      <c r="J6" s="8">
        <f t="shared" si="0"/>
        <v>73954.5</v>
      </c>
      <c r="K6" s="8">
        <f t="shared" si="0"/>
        <v>83239.8</v>
      </c>
    </row>
    <row r="7" spans="2:12" ht="26.25" customHeight="1" x14ac:dyDescent="0.25">
      <c r="B7" s="27"/>
      <c r="C7" s="24" t="s">
        <v>33</v>
      </c>
      <c r="D7" s="15">
        <f>ROUND(135771.5/122686.3*100,1)</f>
        <v>110.7</v>
      </c>
      <c r="E7" s="11">
        <f>E6/D6*100</f>
        <v>97.076558777062928</v>
      </c>
      <c r="F7" s="11">
        <f>F6/E6*100</f>
        <v>91.371319013401148</v>
      </c>
      <c r="G7" s="11">
        <f>G6/F6*100</f>
        <v>108.88279034621915</v>
      </c>
      <c r="H7" s="11">
        <f>H6/G6*100</f>
        <v>70.987210871902803</v>
      </c>
      <c r="I7" s="11">
        <f>I6/G6*100</f>
        <v>75.604566565238287</v>
      </c>
      <c r="J7" s="11">
        <f>J6/H6*100</f>
        <v>79.449719283996927</v>
      </c>
      <c r="K7" s="11">
        <f>K6/J6*100</f>
        <v>112.5554225909174</v>
      </c>
    </row>
    <row r="8" spans="2:12" x14ac:dyDescent="0.25">
      <c r="B8" s="24" t="s">
        <v>4</v>
      </c>
      <c r="C8" s="24" t="s">
        <v>35</v>
      </c>
      <c r="D8" s="9">
        <f>D9+D10+D11+D12+D13</f>
        <v>18817.8</v>
      </c>
      <c r="E8" s="9">
        <f t="shared" ref="E8:K8" si="1">E9+E10+E11+E12+E13</f>
        <v>13391.399999999998</v>
      </c>
      <c r="F8" s="9">
        <f t="shared" si="1"/>
        <v>14042.1</v>
      </c>
      <c r="G8" s="9">
        <f t="shared" si="1"/>
        <v>18534.100000000002</v>
      </c>
      <c r="H8" s="9">
        <f t="shared" si="1"/>
        <v>16578.5</v>
      </c>
      <c r="I8" s="9">
        <f t="shared" si="1"/>
        <v>16578.5</v>
      </c>
      <c r="J8" s="9">
        <f t="shared" si="1"/>
        <v>17363.8</v>
      </c>
      <c r="K8" s="9">
        <f t="shared" si="1"/>
        <v>18148.400000000001</v>
      </c>
    </row>
    <row r="9" spans="2:12" x14ac:dyDescent="0.25">
      <c r="B9" s="24" t="s">
        <v>5</v>
      </c>
      <c r="C9" s="24" t="s">
        <v>35</v>
      </c>
      <c r="D9" s="8">
        <f>ROUND(11123547.61/1000,1)</f>
        <v>11123.5</v>
      </c>
      <c r="E9" s="8">
        <f>ROUND(8784492.45/1000,1)</f>
        <v>8784.5</v>
      </c>
      <c r="F9" s="8">
        <f>ROUND(9585266.85/1000,1)</f>
        <v>9585.2999999999993</v>
      </c>
      <c r="G9" s="8">
        <f>ROUND(14938744.28/1000,1)</f>
        <v>14938.7</v>
      </c>
      <c r="H9" s="8">
        <f>ROUND(7800000/1000,1)</f>
        <v>7800</v>
      </c>
      <c r="I9" s="8">
        <f>ROUND(7800000/1000,1)</f>
        <v>7800</v>
      </c>
      <c r="J9" s="8">
        <f>ROUND(8300000/1000,1)</f>
        <v>8300</v>
      </c>
      <c r="K9" s="8">
        <f>ROUND(8839000/1000,1)</f>
        <v>8839</v>
      </c>
    </row>
    <row r="10" spans="2:12" x14ac:dyDescent="0.25">
      <c r="B10" s="24" t="s">
        <v>6</v>
      </c>
      <c r="C10" s="24" t="s">
        <v>35</v>
      </c>
      <c r="D10" s="8">
        <f>ROUND(0/1000,1)</f>
        <v>0</v>
      </c>
      <c r="E10" s="8">
        <f t="shared" ref="E10:G10" si="2">ROUND(0/1000,1)</f>
        <v>0</v>
      </c>
      <c r="F10" s="8">
        <f t="shared" si="2"/>
        <v>0</v>
      </c>
      <c r="G10" s="8">
        <f t="shared" si="2"/>
        <v>0</v>
      </c>
      <c r="H10" s="8">
        <f>ROUND(5098000/1000,1)</f>
        <v>5098</v>
      </c>
      <c r="I10" s="8">
        <f>ROUND(5098000/1000,1)</f>
        <v>5098</v>
      </c>
      <c r="J10" s="8">
        <f>ROUND(5350000/1000,1)</f>
        <v>5350</v>
      </c>
      <c r="K10" s="8">
        <f>ROUND(5561000/1000,1)</f>
        <v>5561</v>
      </c>
    </row>
    <row r="11" spans="2:12" x14ac:dyDescent="0.25">
      <c r="B11" s="24" t="s">
        <v>7</v>
      </c>
      <c r="C11" s="24" t="s">
        <v>35</v>
      </c>
      <c r="D11" s="8">
        <f>ROUND(766431.73/1000,1)</f>
        <v>766.4</v>
      </c>
      <c r="E11" s="8">
        <f>ROUND(847273.49/1000,1)</f>
        <v>847.3</v>
      </c>
      <c r="F11" s="8">
        <f>ROUND(836618.89/1000,1)</f>
        <v>836.6</v>
      </c>
      <c r="G11" s="8">
        <f>ROUND(292358.09/1000,1)</f>
        <v>292.39999999999998</v>
      </c>
      <c r="H11" s="8">
        <f>ROUND(833000/1000,1)</f>
        <v>833</v>
      </c>
      <c r="I11" s="8">
        <f>ROUND(833000/1000,1)</f>
        <v>833</v>
      </c>
      <c r="J11" s="8">
        <f>ROUND(866300/1000,1)</f>
        <v>866.3</v>
      </c>
      <c r="K11" s="8">
        <f>ROUND(900900/1000,1)</f>
        <v>900.9</v>
      </c>
    </row>
    <row r="12" spans="2:12" x14ac:dyDescent="0.25">
      <c r="B12" s="24" t="s">
        <v>8</v>
      </c>
      <c r="C12" s="24" t="s">
        <v>35</v>
      </c>
      <c r="D12" s="8">
        <f>ROUND(6869816.88/1000,1)</f>
        <v>6869.8</v>
      </c>
      <c r="E12" s="8">
        <f>ROUND(3712328.76/1000,1)</f>
        <v>3712.3</v>
      </c>
      <c r="F12" s="8">
        <f>ROUND(3586045.54/1000,1)</f>
        <v>3586</v>
      </c>
      <c r="G12" s="8">
        <f>ROUND(3258333.69/1000,1)</f>
        <v>3258.3</v>
      </c>
      <c r="H12" s="8">
        <f>ROUND(2829500/1000,1)</f>
        <v>2829.5</v>
      </c>
      <c r="I12" s="8">
        <f>ROUND(2829500/1000,1)</f>
        <v>2829.5</v>
      </c>
      <c r="J12" s="8">
        <f t="shared" ref="J12:K12" si="3">ROUND(2829500/1000,1)</f>
        <v>2829.5</v>
      </c>
      <c r="K12" s="8">
        <f t="shared" si="3"/>
        <v>2829.5</v>
      </c>
    </row>
    <row r="13" spans="2:12" x14ac:dyDescent="0.25">
      <c r="B13" s="24" t="s">
        <v>9</v>
      </c>
      <c r="C13" s="24" t="s">
        <v>35</v>
      </c>
      <c r="D13" s="8">
        <f>ROUND((58057.24+21.98)/1000,1)</f>
        <v>58.1</v>
      </c>
      <c r="E13" s="8">
        <f>ROUND((46515.02+759.89)/1000,1)</f>
        <v>47.3</v>
      </c>
      <c r="F13" s="8">
        <f>ROUND((33756+484.72)/1000,1)</f>
        <v>34.200000000000003</v>
      </c>
      <c r="G13" s="8">
        <f>ROUND((44695.41+0.12)/1000,1)</f>
        <v>44.7</v>
      </c>
      <c r="H13" s="8">
        <f>ROUND(18000/1000,1)</f>
        <v>18</v>
      </c>
      <c r="I13" s="8">
        <f t="shared" ref="I13:K13" si="4">ROUND(18000/1000,1)</f>
        <v>18</v>
      </c>
      <c r="J13" s="8">
        <f t="shared" si="4"/>
        <v>18</v>
      </c>
      <c r="K13" s="8">
        <f t="shared" si="4"/>
        <v>18</v>
      </c>
    </row>
    <row r="14" spans="2:12" x14ac:dyDescent="0.25">
      <c r="B14" s="24" t="s">
        <v>10</v>
      </c>
      <c r="C14" s="24" t="s">
        <v>35</v>
      </c>
      <c r="D14" s="8">
        <f>ROUND((4014990.72+4539.49+486196.11+12291.1+240000+365550+5939309.71-1922.21+327404.02+9050.95)/1000,1)</f>
        <v>11397.4</v>
      </c>
      <c r="E14" s="8">
        <f>ROUND((9318953.752+8832.71+1291030.28+560090.44+290739.01)/1000,1)</f>
        <v>11469.6</v>
      </c>
      <c r="F14" s="8">
        <f>ROUND((6580432.59+35672.99+15248.22)/1000,1)</f>
        <v>6631.4</v>
      </c>
      <c r="G14" s="8">
        <f>ROUND((6810467.22+288.88+1132071.68+8877.63)/1000,1)</f>
        <v>7951.7</v>
      </c>
      <c r="H14" s="8">
        <f>ROUND((4000+6647600)/1000,1)</f>
        <v>6651.6</v>
      </c>
      <c r="I14" s="8">
        <f>ROUND((4000+6647600)/1000,1)</f>
        <v>6651.6</v>
      </c>
      <c r="J14" s="8">
        <f t="shared" ref="J14:K14" si="5">ROUND((4000+6647600)/1000,1)</f>
        <v>6651.6</v>
      </c>
      <c r="K14" s="8">
        <f t="shared" si="5"/>
        <v>6651.6</v>
      </c>
    </row>
    <row r="15" spans="2:12" x14ac:dyDescent="0.25">
      <c r="B15" s="24" t="s">
        <v>11</v>
      </c>
      <c r="C15" s="24" t="s">
        <v>35</v>
      </c>
      <c r="D15" s="8">
        <f>ROUND(105556288.61/1000,1)</f>
        <v>105556.3</v>
      </c>
      <c r="E15" s="8">
        <f>ROUND(106941264.3/1000,1)</f>
        <v>106941.3</v>
      </c>
      <c r="F15" s="8">
        <f>ROUND(99756025.12/1000,1)</f>
        <v>99756</v>
      </c>
      <c r="G15" s="8">
        <f>ROUND(104641234.94/1000,1)</f>
        <v>104641.2</v>
      </c>
      <c r="H15" s="8">
        <f>ROUND((57495300+378200+180000+11799800)/1000,1)</f>
        <v>69853.3</v>
      </c>
      <c r="I15" s="8">
        <f>ROUND((63172400+378200+180000+12177300)/1000,1)</f>
        <v>75907.899999999994</v>
      </c>
      <c r="J15" s="10">
        <v>49939.1</v>
      </c>
      <c r="K15" s="10">
        <v>58439.8</v>
      </c>
    </row>
    <row r="16" spans="2:12" x14ac:dyDescent="0.25">
      <c r="B16" s="27" t="s">
        <v>12</v>
      </c>
      <c r="C16" s="24" t="s">
        <v>35</v>
      </c>
      <c r="D16" s="7">
        <f>SUM(D18:D32)</f>
        <v>146377.70000000001</v>
      </c>
      <c r="E16" s="7">
        <f t="shared" ref="E16:K16" si="6">SUM(E18:E32)</f>
        <v>131632.19999999998</v>
      </c>
      <c r="F16" s="7">
        <f t="shared" si="6"/>
        <v>128455.19999999998</v>
      </c>
      <c r="G16" s="7">
        <f t="shared" si="6"/>
        <v>134155.20000000001</v>
      </c>
      <c r="H16" s="7">
        <f t="shared" si="6"/>
        <v>93083.4</v>
      </c>
      <c r="I16" s="7">
        <f t="shared" si="6"/>
        <v>104571.9</v>
      </c>
      <c r="J16" s="7">
        <f t="shared" si="6"/>
        <v>73954.5</v>
      </c>
      <c r="K16" s="7">
        <f t="shared" si="6"/>
        <v>83239.799999999988</v>
      </c>
    </row>
    <row r="17" spans="2:11" ht="29.25" customHeight="1" x14ac:dyDescent="0.25">
      <c r="B17" s="27"/>
      <c r="C17" s="24" t="s">
        <v>33</v>
      </c>
      <c r="D17" s="15">
        <f>ROUND(146377.7/111874.2*100,1)</f>
        <v>130.80000000000001</v>
      </c>
      <c r="E17" s="11">
        <f>E16/D16*100</f>
        <v>89.926402723912162</v>
      </c>
      <c r="F17" s="11">
        <f>F16/E16*100</f>
        <v>97.586456809200186</v>
      </c>
      <c r="G17" s="11">
        <f>G16/F16*100</f>
        <v>104.43734469293577</v>
      </c>
      <c r="H17" s="11">
        <f>H16/G16*100</f>
        <v>69.384861712404728</v>
      </c>
      <c r="I17" s="11">
        <f>I16/G16*100</f>
        <v>77.948450749579578</v>
      </c>
      <c r="J17" s="11">
        <f>J16/H16*100</f>
        <v>79.449719283996927</v>
      </c>
      <c r="K17" s="11">
        <f>K16/J16*100</f>
        <v>112.55542259091737</v>
      </c>
    </row>
    <row r="18" spans="2:11" x14ac:dyDescent="0.25">
      <c r="B18" s="24" t="s">
        <v>13</v>
      </c>
      <c r="C18" s="24" t="s">
        <v>35</v>
      </c>
      <c r="D18" s="12">
        <v>25768.9</v>
      </c>
      <c r="E18" s="13">
        <v>24643.8</v>
      </c>
      <c r="F18" s="13">
        <v>27029.200000000001</v>
      </c>
      <c r="G18" s="13">
        <v>26458.6</v>
      </c>
      <c r="H18" s="13">
        <v>26911.7</v>
      </c>
      <c r="I18" s="13">
        <v>27639.8</v>
      </c>
      <c r="J18" s="13">
        <v>28801.1</v>
      </c>
      <c r="K18" s="13">
        <v>30855.7</v>
      </c>
    </row>
    <row r="19" spans="2:11" x14ac:dyDescent="0.25">
      <c r="B19" s="24" t="s">
        <v>14</v>
      </c>
      <c r="C19" s="24" t="s">
        <v>35</v>
      </c>
      <c r="D19" s="12">
        <v>667</v>
      </c>
      <c r="E19" s="13">
        <v>905</v>
      </c>
      <c r="F19" s="13">
        <v>1147.4000000000001</v>
      </c>
      <c r="G19" s="13">
        <v>788</v>
      </c>
      <c r="H19" s="13">
        <v>378.2</v>
      </c>
      <c r="I19" s="13">
        <v>378.2</v>
      </c>
      <c r="J19" s="13">
        <v>378.2</v>
      </c>
      <c r="K19" s="13">
        <v>378.2</v>
      </c>
    </row>
    <row r="20" spans="2:11" ht="27" x14ac:dyDescent="0.25">
      <c r="B20" s="24" t="s">
        <v>15</v>
      </c>
      <c r="C20" s="24" t="s">
        <v>35</v>
      </c>
      <c r="D20" s="12">
        <v>2054.8000000000002</v>
      </c>
      <c r="E20" s="13">
        <v>2943.8</v>
      </c>
      <c r="F20" s="13">
        <v>1887.1</v>
      </c>
      <c r="G20" s="13">
        <v>829.8</v>
      </c>
      <c r="H20" s="13">
        <v>536.20000000000005</v>
      </c>
      <c r="I20" s="13">
        <v>836.2</v>
      </c>
      <c r="J20" s="13">
        <v>417.8</v>
      </c>
      <c r="K20" s="13">
        <v>417.8</v>
      </c>
    </row>
    <row r="21" spans="2:11" x14ac:dyDescent="0.25">
      <c r="B21" s="24" t="s">
        <v>16</v>
      </c>
      <c r="C21" s="24" t="s">
        <v>35</v>
      </c>
      <c r="D21" s="12">
        <v>3928.6</v>
      </c>
      <c r="E21" s="13">
        <v>12656.8</v>
      </c>
      <c r="F21" s="13">
        <v>13587.5</v>
      </c>
      <c r="G21" s="13">
        <v>25104.2</v>
      </c>
      <c r="H21" s="13">
        <v>23052.400000000001</v>
      </c>
      <c r="I21" s="13">
        <v>25053.9</v>
      </c>
      <c r="J21" s="13">
        <v>10088.9</v>
      </c>
      <c r="K21" s="13">
        <v>16791</v>
      </c>
    </row>
    <row r="22" spans="2:11" ht="27" x14ac:dyDescent="0.25">
      <c r="B22" s="24" t="s">
        <v>17</v>
      </c>
      <c r="C22" s="24" t="s">
        <v>35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2:11" ht="27" x14ac:dyDescent="0.25">
      <c r="B23" s="24" t="s">
        <v>18</v>
      </c>
      <c r="C23" s="24" t="s">
        <v>35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</row>
    <row r="24" spans="2:11" x14ac:dyDescent="0.25">
      <c r="B24" s="24" t="s">
        <v>19</v>
      </c>
      <c r="C24" s="24" t="s">
        <v>35</v>
      </c>
      <c r="D24" s="12">
        <v>88505.2</v>
      </c>
      <c r="E24" s="13">
        <v>60761.2</v>
      </c>
      <c r="F24" s="13">
        <v>51141.599999999999</v>
      </c>
      <c r="G24" s="13">
        <v>50181</v>
      </c>
      <c r="H24" s="13">
        <v>11000</v>
      </c>
      <c r="I24" s="13">
        <v>18881.400000000001</v>
      </c>
      <c r="J24" s="13">
        <v>3133.6</v>
      </c>
      <c r="K24" s="13">
        <v>3662.2</v>
      </c>
    </row>
    <row r="25" spans="2:11" x14ac:dyDescent="0.25">
      <c r="B25" s="24" t="s">
        <v>20</v>
      </c>
      <c r="C25" s="24" t="s">
        <v>35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</row>
    <row r="26" spans="2:11" x14ac:dyDescent="0.25">
      <c r="B26" s="24" t="s">
        <v>21</v>
      </c>
      <c r="C26" s="24" t="s">
        <v>35</v>
      </c>
      <c r="D26" s="12">
        <v>427.7</v>
      </c>
      <c r="E26" s="13">
        <v>379.7</v>
      </c>
      <c r="F26" s="13">
        <v>380.7</v>
      </c>
      <c r="G26" s="13">
        <v>379.5</v>
      </c>
      <c r="H26" s="13">
        <v>250</v>
      </c>
      <c r="I26" s="13">
        <v>327.5</v>
      </c>
      <c r="J26" s="13">
        <v>250</v>
      </c>
      <c r="K26" s="13">
        <v>250</v>
      </c>
    </row>
    <row r="27" spans="2:11" x14ac:dyDescent="0.25">
      <c r="B27" s="24" t="s">
        <v>22</v>
      </c>
      <c r="C27" s="24" t="s">
        <v>35</v>
      </c>
      <c r="D27" s="12">
        <v>23705.5</v>
      </c>
      <c r="E27" s="13">
        <v>27889.9</v>
      </c>
      <c r="F27" s="13">
        <v>31713.7</v>
      </c>
      <c r="G27" s="13">
        <v>28597.5</v>
      </c>
      <c r="H27" s="13">
        <v>28293.9</v>
      </c>
      <c r="I27" s="13">
        <v>28793.9</v>
      </c>
      <c r="J27" s="13">
        <v>28223.9</v>
      </c>
      <c r="K27" s="13">
        <v>28223.9</v>
      </c>
    </row>
    <row r="28" spans="2:11" x14ac:dyDescent="0.25">
      <c r="B28" s="24" t="s">
        <v>23</v>
      </c>
      <c r="C28" s="24" t="s">
        <v>35</v>
      </c>
      <c r="D28" s="12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</row>
    <row r="29" spans="2:11" x14ac:dyDescent="0.25">
      <c r="B29" s="24" t="s">
        <v>24</v>
      </c>
      <c r="C29" s="24" t="s">
        <v>35</v>
      </c>
      <c r="D29" s="12">
        <v>120</v>
      </c>
      <c r="E29" s="13">
        <v>120</v>
      </c>
      <c r="F29" s="13">
        <v>185</v>
      </c>
      <c r="G29" s="13">
        <v>241.6</v>
      </c>
      <c r="H29" s="13">
        <v>240</v>
      </c>
      <c r="I29" s="13">
        <v>240</v>
      </c>
      <c r="J29" s="13">
        <v>240</v>
      </c>
      <c r="K29" s="13">
        <v>240</v>
      </c>
    </row>
    <row r="30" spans="2:11" x14ac:dyDescent="0.25">
      <c r="B30" s="24" t="s">
        <v>25</v>
      </c>
      <c r="C30" s="24" t="s">
        <v>35</v>
      </c>
      <c r="D30" s="12">
        <v>1200</v>
      </c>
      <c r="E30" s="13">
        <v>1332</v>
      </c>
      <c r="F30" s="13">
        <v>1383</v>
      </c>
      <c r="G30" s="13">
        <v>1575</v>
      </c>
      <c r="H30" s="13">
        <v>2421</v>
      </c>
      <c r="I30" s="13">
        <v>2421</v>
      </c>
      <c r="J30" s="13">
        <v>2421</v>
      </c>
      <c r="K30" s="13">
        <v>2421</v>
      </c>
    </row>
    <row r="31" spans="2:11" x14ac:dyDescent="0.25">
      <c r="B31" s="24" t="s">
        <v>26</v>
      </c>
      <c r="C31" s="24" t="s">
        <v>35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</row>
    <row r="32" spans="2:11" ht="27" x14ac:dyDescent="0.25">
      <c r="B32" s="24" t="s">
        <v>27</v>
      </c>
      <c r="C32" s="24" t="s">
        <v>35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</row>
    <row r="33" spans="2:11" x14ac:dyDescent="0.25">
      <c r="B33" s="27" t="s">
        <v>28</v>
      </c>
      <c r="C33" s="24" t="s">
        <v>35</v>
      </c>
      <c r="D33" s="31">
        <f>D6-D16</f>
        <v>-10606.200000000012</v>
      </c>
      <c r="E33" s="31">
        <f t="shared" ref="E33:K33" si="7">E6-E16</f>
        <v>170.10000000000582</v>
      </c>
      <c r="F33" s="31">
        <f t="shared" si="7"/>
        <v>-8025.6999999999825</v>
      </c>
      <c r="G33" s="31">
        <f t="shared" si="7"/>
        <v>-3028.2000000000116</v>
      </c>
      <c r="H33" s="31">
        <f t="shared" si="7"/>
        <v>0</v>
      </c>
      <c r="I33" s="31">
        <f t="shared" si="7"/>
        <v>-5433.8999999999942</v>
      </c>
      <c r="J33" s="31">
        <f t="shared" si="7"/>
        <v>0</v>
      </c>
      <c r="K33" s="31">
        <f t="shared" si="7"/>
        <v>0</v>
      </c>
    </row>
    <row r="34" spans="2:11" ht="40.5" x14ac:dyDescent="0.25">
      <c r="B34" s="27"/>
      <c r="C34" s="24" t="s">
        <v>48</v>
      </c>
      <c r="D34" s="15">
        <f>D33-10812.1</f>
        <v>-21418.30000000001</v>
      </c>
      <c r="E34" s="11">
        <f>E33-D33</f>
        <v>10776.300000000017</v>
      </c>
      <c r="F34" s="11">
        <f t="shared" ref="F34:H34" si="8">F33-E33</f>
        <v>-8195.7999999999884</v>
      </c>
      <c r="G34" s="11">
        <f t="shared" si="8"/>
        <v>4997.4999999999709</v>
      </c>
      <c r="H34" s="11">
        <f t="shared" si="8"/>
        <v>3028.2000000000116</v>
      </c>
      <c r="I34" s="11">
        <f>I33-G33</f>
        <v>-2405.6999999999825</v>
      </c>
      <c r="J34" s="11">
        <f>J33-H33</f>
        <v>0</v>
      </c>
      <c r="K34" s="11">
        <f>K33-J33</f>
        <v>0</v>
      </c>
    </row>
    <row r="35" spans="2:11" hidden="1" x14ac:dyDescent="0.25">
      <c r="B35" s="27" t="s">
        <v>29</v>
      </c>
      <c r="C35" s="24" t="s">
        <v>35</v>
      </c>
      <c r="D35" s="30"/>
      <c r="E35" s="5"/>
      <c r="F35" s="5"/>
      <c r="G35" s="5"/>
      <c r="H35" s="5"/>
      <c r="I35" s="5"/>
      <c r="J35" s="5"/>
      <c r="K35" s="5"/>
    </row>
    <row r="36" spans="2:11" ht="54" hidden="1" customHeight="1" x14ac:dyDescent="0.25">
      <c r="B36" s="27"/>
      <c r="C36" s="24" t="s">
        <v>34</v>
      </c>
      <c r="D36" s="30"/>
      <c r="E36" s="5"/>
      <c r="F36" s="5"/>
      <c r="G36" s="5"/>
      <c r="H36" s="5"/>
      <c r="I36" s="5"/>
      <c r="J36" s="5"/>
      <c r="K36" s="5"/>
    </row>
    <row r="37" spans="2:11" ht="27" x14ac:dyDescent="0.25">
      <c r="B37" s="24" t="s">
        <v>30</v>
      </c>
      <c r="C37" s="24" t="s">
        <v>36</v>
      </c>
      <c r="D37" s="18">
        <f>ROUND(D6/D4*1000,0)</f>
        <v>26323</v>
      </c>
      <c r="E37" s="18">
        <f>ROUND(E6/E4*1000,0)</f>
        <v>25245</v>
      </c>
      <c r="F37" s="18">
        <f t="shared" ref="F37:K37" si="9">ROUND(F6/F4*1000,0)</f>
        <v>23725</v>
      </c>
      <c r="G37" s="18">
        <f t="shared" si="9"/>
        <v>25904</v>
      </c>
      <c r="H37" s="18">
        <f t="shared" si="9"/>
        <v>18381</v>
      </c>
      <c r="I37" s="18">
        <f t="shared" si="9"/>
        <v>19577</v>
      </c>
      <c r="J37" s="18">
        <f t="shared" si="9"/>
        <v>14604</v>
      </c>
      <c r="K37" s="18">
        <f t="shared" si="9"/>
        <v>16438</v>
      </c>
    </row>
    <row r="38" spans="2:11" ht="27" x14ac:dyDescent="0.25">
      <c r="B38" s="24" t="s">
        <v>31</v>
      </c>
      <c r="C38" s="24" t="s">
        <v>36</v>
      </c>
      <c r="D38" s="18">
        <f>ROUND(D16/D4*1000,0)</f>
        <v>28379</v>
      </c>
      <c r="E38" s="18">
        <f t="shared" ref="E38:K38" si="10">ROUND(E16/E4*1000,0)</f>
        <v>25212</v>
      </c>
      <c r="F38" s="18">
        <f t="shared" si="10"/>
        <v>25306</v>
      </c>
      <c r="G38" s="18">
        <f t="shared" si="10"/>
        <v>26502</v>
      </c>
      <c r="H38" s="18">
        <f t="shared" si="10"/>
        <v>18381</v>
      </c>
      <c r="I38" s="18">
        <f t="shared" si="10"/>
        <v>20650</v>
      </c>
      <c r="J38" s="18">
        <f t="shared" si="10"/>
        <v>14604</v>
      </c>
      <c r="K38" s="18">
        <f t="shared" si="10"/>
        <v>16438</v>
      </c>
    </row>
    <row r="39" spans="2:11" ht="27" x14ac:dyDescent="0.25">
      <c r="B39" s="24" t="s">
        <v>50</v>
      </c>
      <c r="C39" s="24" t="s">
        <v>36</v>
      </c>
      <c r="D39" s="32">
        <v>30603</v>
      </c>
      <c r="E39" s="20">
        <v>43052</v>
      </c>
      <c r="F39" s="21">
        <v>47425.3</v>
      </c>
      <c r="G39" s="21">
        <v>49525.599999999999</v>
      </c>
      <c r="H39" s="21">
        <v>50000</v>
      </c>
      <c r="I39" s="21">
        <v>50000</v>
      </c>
      <c r="J39" s="21">
        <v>50000</v>
      </c>
      <c r="K39" s="21">
        <v>50000</v>
      </c>
    </row>
    <row r="40" spans="2:11" ht="54" x14ac:dyDescent="0.25">
      <c r="B40" s="24" t="s">
        <v>46</v>
      </c>
      <c r="C40" s="24" t="s">
        <v>36</v>
      </c>
      <c r="D40" s="32">
        <v>57536.5</v>
      </c>
      <c r="E40" s="22">
        <v>59751.3</v>
      </c>
      <c r="F40" s="23">
        <v>58790.69</v>
      </c>
      <c r="G40" s="21">
        <v>58000</v>
      </c>
      <c r="H40" s="21">
        <v>58000</v>
      </c>
      <c r="I40" s="21">
        <v>58000</v>
      </c>
      <c r="J40" s="21">
        <v>58000</v>
      </c>
      <c r="K40" s="21">
        <v>58000</v>
      </c>
    </row>
    <row r="41" spans="2:11" ht="40.5" x14ac:dyDescent="0.25">
      <c r="B41" s="24" t="s">
        <v>47</v>
      </c>
      <c r="C41" s="24" t="s">
        <v>36</v>
      </c>
      <c r="D41" s="32">
        <v>35102.03</v>
      </c>
      <c r="E41" s="21">
        <v>38043.9</v>
      </c>
      <c r="F41" s="21">
        <v>40365.1</v>
      </c>
      <c r="G41" s="21">
        <v>38683.230000000003</v>
      </c>
      <c r="H41" s="21">
        <v>36063.1</v>
      </c>
      <c r="I41" s="21">
        <v>36063.1</v>
      </c>
      <c r="J41" s="21">
        <v>46421.8</v>
      </c>
      <c r="K41" s="21">
        <v>46421.8</v>
      </c>
    </row>
  </sheetData>
  <mergeCells count="12">
    <mergeCell ref="H2:I2"/>
    <mergeCell ref="J3:K3"/>
    <mergeCell ref="B6:B7"/>
    <mergeCell ref="B16:B17"/>
    <mergeCell ref="B33:B34"/>
    <mergeCell ref="B35:B36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1"/>
  <sheetViews>
    <sheetView tabSelected="1" workbookViewId="0">
      <selection activeCell="I31" sqref="I31"/>
    </sheetView>
  </sheetViews>
  <sheetFormatPr defaultRowHeight="15" x14ac:dyDescent="0.25"/>
  <cols>
    <col min="1" max="1" width="3.5703125" customWidth="1"/>
    <col min="2" max="2" width="47.7109375" customWidth="1"/>
    <col min="3" max="3" width="27.85546875" customWidth="1"/>
    <col min="4" max="7" width="10.85546875" customWidth="1"/>
    <col min="8" max="9" width="14.7109375" customWidth="1"/>
    <col min="10" max="11" width="9.85546875" bestFit="1" customWidth="1"/>
  </cols>
  <sheetData>
    <row r="2" spans="2:12" ht="27" x14ac:dyDescent="0.25">
      <c r="B2" s="28" t="s">
        <v>0</v>
      </c>
      <c r="C2" s="28" t="s">
        <v>32</v>
      </c>
      <c r="D2" s="28" t="s">
        <v>37</v>
      </c>
      <c r="E2" s="28" t="s">
        <v>38</v>
      </c>
      <c r="F2" s="28" t="s">
        <v>39</v>
      </c>
      <c r="G2" s="28" t="s">
        <v>40</v>
      </c>
      <c r="H2" s="28" t="s">
        <v>41</v>
      </c>
      <c r="I2" s="28"/>
      <c r="J2" s="2" t="s">
        <v>42</v>
      </c>
      <c r="K2" s="2" t="s">
        <v>43</v>
      </c>
      <c r="L2" s="1"/>
    </row>
    <row r="3" spans="2:12" ht="46.5" customHeight="1" x14ac:dyDescent="0.25">
      <c r="B3" s="28"/>
      <c r="C3" s="28"/>
      <c r="D3" s="28"/>
      <c r="E3" s="28"/>
      <c r="F3" s="28"/>
      <c r="G3" s="28"/>
      <c r="H3" s="2" t="s">
        <v>45</v>
      </c>
      <c r="I3" s="26" t="s">
        <v>51</v>
      </c>
      <c r="J3" s="28" t="s">
        <v>44</v>
      </c>
      <c r="K3" s="28"/>
      <c r="L3" s="1"/>
    </row>
    <row r="4" spans="2:12" x14ac:dyDescent="0.25">
      <c r="B4" s="3" t="s">
        <v>1</v>
      </c>
      <c r="C4" s="3" t="s">
        <v>49</v>
      </c>
      <c r="D4" s="16">
        <v>5158</v>
      </c>
      <c r="E4" s="17">
        <v>5221</v>
      </c>
      <c r="F4" s="17">
        <v>5076</v>
      </c>
      <c r="G4" s="17">
        <v>5062</v>
      </c>
      <c r="H4" s="17">
        <v>5064</v>
      </c>
      <c r="I4" s="17">
        <v>5064</v>
      </c>
      <c r="J4" s="17">
        <v>5064</v>
      </c>
      <c r="K4" s="17">
        <v>5064</v>
      </c>
    </row>
    <row r="5" spans="2:12" ht="16.5" customHeight="1" x14ac:dyDescent="0.25">
      <c r="B5" s="3" t="s">
        <v>2</v>
      </c>
      <c r="C5" s="3" t="s">
        <v>49</v>
      </c>
      <c r="D5" s="4"/>
      <c r="E5" s="5"/>
      <c r="F5" s="5"/>
      <c r="G5" s="5"/>
      <c r="H5" s="5"/>
      <c r="I5" s="5"/>
      <c r="J5" s="5"/>
      <c r="K5" s="5"/>
    </row>
    <row r="6" spans="2:12" ht="13.5" customHeight="1" x14ac:dyDescent="0.25">
      <c r="B6" s="27" t="s">
        <v>3</v>
      </c>
      <c r="C6" s="3" t="s">
        <v>35</v>
      </c>
      <c r="D6" s="8">
        <f>D8+D14+D15</f>
        <v>135771.5</v>
      </c>
      <c r="E6" s="8">
        <f t="shared" ref="E6:K6" si="0">E8+E14+E15</f>
        <v>131802.29999999999</v>
      </c>
      <c r="F6" s="8">
        <f t="shared" si="0"/>
        <v>120429.5</v>
      </c>
      <c r="G6" s="8">
        <f t="shared" si="0"/>
        <v>131127</v>
      </c>
      <c r="H6" s="8">
        <f t="shared" si="0"/>
        <v>93083.4</v>
      </c>
      <c r="I6" s="8">
        <f t="shared" si="0"/>
        <v>107160.09999999999</v>
      </c>
      <c r="J6" s="8">
        <f t="shared" si="0"/>
        <v>73954.5</v>
      </c>
      <c r="K6" s="8">
        <f t="shared" si="0"/>
        <v>83239.8</v>
      </c>
    </row>
    <row r="7" spans="2:12" ht="26.25" customHeight="1" x14ac:dyDescent="0.25">
      <c r="B7" s="27"/>
      <c r="C7" s="3" t="s">
        <v>33</v>
      </c>
      <c r="D7" s="15">
        <f>ROUND(135771.5/122686.3*100,1)</f>
        <v>110.7</v>
      </c>
      <c r="E7" s="11">
        <f>E6/D6*100</f>
        <v>97.076558777062928</v>
      </c>
      <c r="F7" s="11">
        <f>F6/E6*100</f>
        <v>91.371319013401148</v>
      </c>
      <c r="G7" s="11">
        <f>G6/F6*100</f>
        <v>108.88279034621915</v>
      </c>
      <c r="H7" s="11">
        <f>H6/G6*100</f>
        <v>70.987210871902803</v>
      </c>
      <c r="I7" s="11">
        <f>I6/G6*100</f>
        <v>81.722376017143688</v>
      </c>
      <c r="J7" s="11">
        <f>J6/H6*100</f>
        <v>79.449719283996927</v>
      </c>
      <c r="K7" s="11">
        <f>K6/J6*100</f>
        <v>112.5554225909174</v>
      </c>
    </row>
    <row r="8" spans="2:12" x14ac:dyDescent="0.25">
      <c r="B8" s="3" t="s">
        <v>4</v>
      </c>
      <c r="C8" s="3" t="s">
        <v>35</v>
      </c>
      <c r="D8" s="9">
        <f>D9+D10+D11+D12+D13</f>
        <v>18817.8</v>
      </c>
      <c r="E8" s="9">
        <f t="shared" ref="E8:K8" si="1">E9+E10+E11+E12+E13</f>
        <v>13391.399999999998</v>
      </c>
      <c r="F8" s="9">
        <f t="shared" si="1"/>
        <v>14042.1</v>
      </c>
      <c r="G8" s="9">
        <f t="shared" si="1"/>
        <v>18534.100000000002</v>
      </c>
      <c r="H8" s="9">
        <f t="shared" si="1"/>
        <v>16578.5</v>
      </c>
      <c r="I8" s="9">
        <f t="shared" si="1"/>
        <v>16048.5</v>
      </c>
      <c r="J8" s="9">
        <f t="shared" si="1"/>
        <v>17363.8</v>
      </c>
      <c r="K8" s="9">
        <f t="shared" si="1"/>
        <v>18148.400000000001</v>
      </c>
    </row>
    <row r="9" spans="2:12" x14ac:dyDescent="0.25">
      <c r="B9" s="3" t="s">
        <v>5</v>
      </c>
      <c r="C9" s="3" t="s">
        <v>35</v>
      </c>
      <c r="D9" s="8">
        <f>ROUND(11123547.61/1000,1)</f>
        <v>11123.5</v>
      </c>
      <c r="E9" s="8">
        <f>ROUND(8784492.45/1000,1)</f>
        <v>8784.5</v>
      </c>
      <c r="F9" s="8">
        <f>ROUND(9585266.85/1000,1)</f>
        <v>9585.2999999999993</v>
      </c>
      <c r="G9" s="8">
        <f>ROUND(14938744.28/1000,1)</f>
        <v>14938.7</v>
      </c>
      <c r="H9" s="8">
        <f>ROUND(7800000/1000,1)</f>
        <v>7800</v>
      </c>
      <c r="I9" s="8">
        <f>ROUND(7800000/1000,1)</f>
        <v>7800</v>
      </c>
      <c r="J9" s="8">
        <f>ROUND(8300000/1000,1)</f>
        <v>8300</v>
      </c>
      <c r="K9" s="8">
        <f>ROUND(8839000/1000,1)</f>
        <v>8839</v>
      </c>
    </row>
    <row r="10" spans="2:12" x14ac:dyDescent="0.25">
      <c r="B10" s="3" t="s">
        <v>6</v>
      </c>
      <c r="C10" s="3" t="s">
        <v>35</v>
      </c>
      <c r="D10" s="8">
        <f>ROUND(0/1000,1)</f>
        <v>0</v>
      </c>
      <c r="E10" s="8">
        <f t="shared" ref="E10:G10" si="2">ROUND(0/1000,1)</f>
        <v>0</v>
      </c>
      <c r="F10" s="8">
        <f t="shared" si="2"/>
        <v>0</v>
      </c>
      <c r="G10" s="8">
        <f t="shared" si="2"/>
        <v>0</v>
      </c>
      <c r="H10" s="8">
        <f>ROUND(5098000/1000,1)</f>
        <v>5098</v>
      </c>
      <c r="I10" s="8">
        <f>ROUND(5098000/1000,1)</f>
        <v>5098</v>
      </c>
      <c r="J10" s="8">
        <f>ROUND(5350000/1000,1)</f>
        <v>5350</v>
      </c>
      <c r="K10" s="8">
        <f>ROUND(5561000/1000,1)</f>
        <v>5561</v>
      </c>
    </row>
    <row r="11" spans="2:12" x14ac:dyDescent="0.25">
      <c r="B11" s="3" t="s">
        <v>7</v>
      </c>
      <c r="C11" s="3" t="s">
        <v>35</v>
      </c>
      <c r="D11" s="8">
        <f>ROUND(766431.73/1000,1)</f>
        <v>766.4</v>
      </c>
      <c r="E11" s="8">
        <f>ROUND(847273.49/1000,1)</f>
        <v>847.3</v>
      </c>
      <c r="F11" s="8">
        <f>ROUND(836618.89/1000,1)</f>
        <v>836.6</v>
      </c>
      <c r="G11" s="8">
        <f>ROUND(292358.09/1000,1)</f>
        <v>292.39999999999998</v>
      </c>
      <c r="H11" s="8">
        <f>ROUND(833000/1000,1)</f>
        <v>833</v>
      </c>
      <c r="I11" s="8">
        <f>ROUND((833000-530000)/1000,1)</f>
        <v>303</v>
      </c>
      <c r="J11" s="8">
        <f>ROUND(866300/1000,1)</f>
        <v>866.3</v>
      </c>
      <c r="K11" s="8">
        <f>ROUND(900900/1000,1)</f>
        <v>900.9</v>
      </c>
    </row>
    <row r="12" spans="2:12" x14ac:dyDescent="0.25">
      <c r="B12" s="3" t="s">
        <v>8</v>
      </c>
      <c r="C12" s="3" t="s">
        <v>35</v>
      </c>
      <c r="D12" s="8">
        <f>ROUND(6869816.88/1000,1)</f>
        <v>6869.8</v>
      </c>
      <c r="E12" s="8">
        <f>ROUND(3712328.76/1000,1)</f>
        <v>3712.3</v>
      </c>
      <c r="F12" s="8">
        <f>ROUND(3586045.54/1000,1)</f>
        <v>3586</v>
      </c>
      <c r="G12" s="8">
        <f>ROUND(3258333.69/1000,1)</f>
        <v>3258.3</v>
      </c>
      <c r="H12" s="8">
        <f>ROUND(2829500/1000,1)</f>
        <v>2829.5</v>
      </c>
      <c r="I12" s="8">
        <f>ROUND(2829500/1000,1)</f>
        <v>2829.5</v>
      </c>
      <c r="J12" s="8">
        <f t="shared" ref="J12:K12" si="3">ROUND(2829500/1000,1)</f>
        <v>2829.5</v>
      </c>
      <c r="K12" s="8">
        <f t="shared" si="3"/>
        <v>2829.5</v>
      </c>
    </row>
    <row r="13" spans="2:12" x14ac:dyDescent="0.25">
      <c r="B13" s="3" t="s">
        <v>9</v>
      </c>
      <c r="C13" s="3" t="s">
        <v>35</v>
      </c>
      <c r="D13" s="8">
        <f>ROUND((58057.24+21.98)/1000,1)</f>
        <v>58.1</v>
      </c>
      <c r="E13" s="8">
        <f>ROUND((46515.02+759.89)/1000,1)</f>
        <v>47.3</v>
      </c>
      <c r="F13" s="8">
        <f>ROUND((33756+484.72)/1000,1)</f>
        <v>34.200000000000003</v>
      </c>
      <c r="G13" s="8">
        <f>ROUND((44695.41+0.12)/1000,1)</f>
        <v>44.7</v>
      </c>
      <c r="H13" s="8">
        <f>ROUND(18000/1000,1)</f>
        <v>18</v>
      </c>
      <c r="I13" s="8">
        <f t="shared" ref="I13:K13" si="4">ROUND(18000/1000,1)</f>
        <v>18</v>
      </c>
      <c r="J13" s="8">
        <f t="shared" si="4"/>
        <v>18</v>
      </c>
      <c r="K13" s="8">
        <f t="shared" si="4"/>
        <v>18</v>
      </c>
    </row>
    <row r="14" spans="2:12" x14ac:dyDescent="0.25">
      <c r="B14" s="3" t="s">
        <v>10</v>
      </c>
      <c r="C14" s="3" t="s">
        <v>35</v>
      </c>
      <c r="D14" s="8">
        <f>ROUND((4014990.72+4539.49+486196.11+12291.1+240000+365550+5939309.71-1922.21+327404.02+9050.95)/1000,1)</f>
        <v>11397.4</v>
      </c>
      <c r="E14" s="8">
        <f>ROUND((9318953.752+8832.71+1291030.28+560090.44+290739.01)/1000,1)</f>
        <v>11469.6</v>
      </c>
      <c r="F14" s="8">
        <f>ROUND((6580432.59+35672.99+15248.22)/1000,1)</f>
        <v>6631.4</v>
      </c>
      <c r="G14" s="8">
        <f>ROUND((6810467.22+288.88+1132071.68+8877.63)/1000,1)</f>
        <v>7951.7</v>
      </c>
      <c r="H14" s="8">
        <f>ROUND((4000+6647600)/1000,1)</f>
        <v>6651.6</v>
      </c>
      <c r="I14" s="8">
        <f>ROUND((4000+6647600+530000+191100)/1000,1)</f>
        <v>7372.7</v>
      </c>
      <c r="J14" s="8">
        <f t="shared" ref="J14:K14" si="5">ROUND((4000+6647600)/1000,1)</f>
        <v>6651.6</v>
      </c>
      <c r="K14" s="8">
        <f t="shared" si="5"/>
        <v>6651.6</v>
      </c>
    </row>
    <row r="15" spans="2:12" x14ac:dyDescent="0.25">
      <c r="B15" s="3" t="s">
        <v>11</v>
      </c>
      <c r="C15" s="3" t="s">
        <v>35</v>
      </c>
      <c r="D15" s="8">
        <f>ROUND(105556288.61/1000,1)</f>
        <v>105556.3</v>
      </c>
      <c r="E15" s="8">
        <f>ROUND(106941264.3/1000,1)</f>
        <v>106941.3</v>
      </c>
      <c r="F15" s="8">
        <f>ROUND(99756025.12/1000,1)</f>
        <v>99756</v>
      </c>
      <c r="G15" s="8">
        <f>ROUND(104641234.94/1000,1)</f>
        <v>104641.2</v>
      </c>
      <c r="H15" s="8">
        <f>ROUND((57495300+378200+180000+11799800)/1000,1)</f>
        <v>69853.3</v>
      </c>
      <c r="I15" s="8">
        <f>ROUND((63172400+378200+180000+12177300+7831000)/1000,1)</f>
        <v>83738.899999999994</v>
      </c>
      <c r="J15" s="10">
        <v>49939.1</v>
      </c>
      <c r="K15" s="10">
        <v>58439.8</v>
      </c>
    </row>
    <row r="16" spans="2:12" x14ac:dyDescent="0.25">
      <c r="B16" s="27" t="s">
        <v>12</v>
      </c>
      <c r="C16" s="3" t="s">
        <v>35</v>
      </c>
      <c r="D16" s="7">
        <f>SUM(D18:D32)</f>
        <v>146377.70000000001</v>
      </c>
      <c r="E16" s="7">
        <f t="shared" ref="E16:K16" si="6">SUM(E18:E32)</f>
        <v>131632.19999999998</v>
      </c>
      <c r="F16" s="7">
        <f t="shared" si="6"/>
        <v>128455.19999999998</v>
      </c>
      <c r="G16" s="7">
        <f t="shared" si="6"/>
        <v>134155.20000000001</v>
      </c>
      <c r="H16" s="7">
        <f t="shared" si="6"/>
        <v>93083.4</v>
      </c>
      <c r="I16" s="7">
        <f t="shared" si="6"/>
        <v>112594</v>
      </c>
      <c r="J16" s="7">
        <f t="shared" si="6"/>
        <v>73954.5</v>
      </c>
      <c r="K16" s="7">
        <f t="shared" si="6"/>
        <v>83239.799999999988</v>
      </c>
    </row>
    <row r="17" spans="2:11" ht="29.25" customHeight="1" x14ac:dyDescent="0.25">
      <c r="B17" s="27"/>
      <c r="C17" s="3" t="s">
        <v>33</v>
      </c>
      <c r="D17" s="15">
        <f>ROUND(146377.7/111874.2*100,1)</f>
        <v>130.80000000000001</v>
      </c>
      <c r="E17" s="11">
        <f>E16/D16*100</f>
        <v>89.926402723912162</v>
      </c>
      <c r="F17" s="11">
        <f>F16/E16*100</f>
        <v>97.586456809200186</v>
      </c>
      <c r="G17" s="11">
        <f>G16/F16*100</f>
        <v>104.43734469293577</v>
      </c>
      <c r="H17" s="11">
        <f>H16/G16*100</f>
        <v>69.384861712404728</v>
      </c>
      <c r="I17" s="11">
        <f>I16/G16*100</f>
        <v>83.928166779968265</v>
      </c>
      <c r="J17" s="11">
        <f>J16/H16*100</f>
        <v>79.449719283996927</v>
      </c>
      <c r="K17" s="11">
        <f>K16/J16*100</f>
        <v>112.55542259091737</v>
      </c>
    </row>
    <row r="18" spans="2:11" x14ac:dyDescent="0.25">
      <c r="B18" s="3" t="s">
        <v>13</v>
      </c>
      <c r="C18" s="3" t="s">
        <v>35</v>
      </c>
      <c r="D18" s="12">
        <v>25768.9</v>
      </c>
      <c r="E18" s="13">
        <v>24643.8</v>
      </c>
      <c r="F18" s="13">
        <v>27029.200000000001</v>
      </c>
      <c r="G18" s="13">
        <v>26458.6</v>
      </c>
      <c r="H18" s="13">
        <v>26911.7</v>
      </c>
      <c r="I18" s="13">
        <f>27639.8+400</f>
        <v>28039.8</v>
      </c>
      <c r="J18" s="13">
        <v>28801.1</v>
      </c>
      <c r="K18" s="13">
        <v>30855.7</v>
      </c>
    </row>
    <row r="19" spans="2:11" x14ac:dyDescent="0.25">
      <c r="B19" s="3" t="s">
        <v>14</v>
      </c>
      <c r="C19" s="3" t="s">
        <v>35</v>
      </c>
      <c r="D19" s="12">
        <v>667</v>
      </c>
      <c r="E19" s="13">
        <v>905</v>
      </c>
      <c r="F19" s="13">
        <v>1147.4000000000001</v>
      </c>
      <c r="G19" s="13">
        <v>788</v>
      </c>
      <c r="H19" s="13">
        <v>378.2</v>
      </c>
      <c r="I19" s="13">
        <v>378.2</v>
      </c>
      <c r="J19" s="13">
        <v>378.2</v>
      </c>
      <c r="K19" s="13">
        <v>378.2</v>
      </c>
    </row>
    <row r="20" spans="2:11" ht="27" x14ac:dyDescent="0.25">
      <c r="B20" s="3" t="s">
        <v>15</v>
      </c>
      <c r="C20" s="3" t="s">
        <v>35</v>
      </c>
      <c r="D20" s="12">
        <v>2054.8000000000002</v>
      </c>
      <c r="E20" s="13">
        <v>2943.8</v>
      </c>
      <c r="F20" s="13">
        <v>1887.1</v>
      </c>
      <c r="G20" s="13">
        <v>829.8</v>
      </c>
      <c r="H20" s="13">
        <v>536.20000000000005</v>
      </c>
      <c r="I20" s="13">
        <f>836.2+1.8</f>
        <v>838</v>
      </c>
      <c r="J20" s="13">
        <v>417.8</v>
      </c>
      <c r="K20" s="13">
        <v>417.8</v>
      </c>
    </row>
    <row r="21" spans="2:11" x14ac:dyDescent="0.25">
      <c r="B21" s="3" t="s">
        <v>16</v>
      </c>
      <c r="C21" s="3" t="s">
        <v>35</v>
      </c>
      <c r="D21" s="12">
        <v>3928.6</v>
      </c>
      <c r="E21" s="13">
        <v>12656.8</v>
      </c>
      <c r="F21" s="13">
        <v>13587.5</v>
      </c>
      <c r="G21" s="13">
        <v>25104.2</v>
      </c>
      <c r="H21" s="13">
        <v>23052.400000000001</v>
      </c>
      <c r="I21" s="13">
        <f>25053.9+191.1</f>
        <v>25245</v>
      </c>
      <c r="J21" s="13">
        <v>10088.9</v>
      </c>
      <c r="K21" s="13">
        <v>16791</v>
      </c>
    </row>
    <row r="22" spans="2:11" ht="27" x14ac:dyDescent="0.25">
      <c r="B22" s="3" t="s">
        <v>17</v>
      </c>
      <c r="C22" s="3" t="s">
        <v>35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2:11" ht="27" x14ac:dyDescent="0.25">
      <c r="B23" s="3" t="s">
        <v>18</v>
      </c>
      <c r="C23" s="3" t="s">
        <v>35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</row>
    <row r="24" spans="2:11" x14ac:dyDescent="0.25">
      <c r="B24" s="3" t="s">
        <v>19</v>
      </c>
      <c r="C24" s="3" t="s">
        <v>35</v>
      </c>
      <c r="D24" s="12">
        <v>88505.2</v>
      </c>
      <c r="E24" s="13">
        <v>60761.2</v>
      </c>
      <c r="F24" s="13">
        <v>51141.599999999999</v>
      </c>
      <c r="G24" s="13">
        <v>50181</v>
      </c>
      <c r="H24" s="13">
        <v>11000</v>
      </c>
      <c r="I24" s="13">
        <f>18881.4+5148.2</f>
        <v>24029.600000000002</v>
      </c>
      <c r="J24" s="13">
        <v>3133.6</v>
      </c>
      <c r="K24" s="13">
        <v>3662.2</v>
      </c>
    </row>
    <row r="25" spans="2:11" x14ac:dyDescent="0.25">
      <c r="B25" s="3" t="s">
        <v>20</v>
      </c>
      <c r="C25" s="3" t="s">
        <v>35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</row>
    <row r="26" spans="2:11" x14ac:dyDescent="0.25">
      <c r="B26" s="3" t="s">
        <v>21</v>
      </c>
      <c r="C26" s="3" t="s">
        <v>35</v>
      </c>
      <c r="D26" s="12">
        <v>427.7</v>
      </c>
      <c r="E26" s="13">
        <v>379.7</v>
      </c>
      <c r="F26" s="13">
        <v>380.7</v>
      </c>
      <c r="G26" s="13">
        <v>379.5</v>
      </c>
      <c r="H26" s="13">
        <v>250</v>
      </c>
      <c r="I26" s="13">
        <v>327.5</v>
      </c>
      <c r="J26" s="13">
        <v>250</v>
      </c>
      <c r="K26" s="13">
        <v>250</v>
      </c>
    </row>
    <row r="27" spans="2:11" x14ac:dyDescent="0.25">
      <c r="B27" s="3" t="s">
        <v>22</v>
      </c>
      <c r="C27" s="3" t="s">
        <v>35</v>
      </c>
      <c r="D27" s="12">
        <v>23705.5</v>
      </c>
      <c r="E27" s="13">
        <v>27889.9</v>
      </c>
      <c r="F27" s="13">
        <v>31713.7</v>
      </c>
      <c r="G27" s="13">
        <v>28597.5</v>
      </c>
      <c r="H27" s="13">
        <v>28293.9</v>
      </c>
      <c r="I27" s="13">
        <f>28793.9+1676</f>
        <v>30469.9</v>
      </c>
      <c r="J27" s="13">
        <v>28223.9</v>
      </c>
      <c r="K27" s="13">
        <v>28223.9</v>
      </c>
    </row>
    <row r="28" spans="2:11" x14ac:dyDescent="0.25">
      <c r="B28" s="3" t="s">
        <v>23</v>
      </c>
      <c r="C28" s="3" t="s">
        <v>35</v>
      </c>
      <c r="D28" s="12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</row>
    <row r="29" spans="2:11" x14ac:dyDescent="0.25">
      <c r="B29" s="3" t="s">
        <v>24</v>
      </c>
      <c r="C29" s="3" t="s">
        <v>35</v>
      </c>
      <c r="D29" s="12">
        <v>120</v>
      </c>
      <c r="E29" s="13">
        <v>120</v>
      </c>
      <c r="F29" s="13">
        <v>185</v>
      </c>
      <c r="G29" s="13">
        <v>241.6</v>
      </c>
      <c r="H29" s="13">
        <v>240</v>
      </c>
      <c r="I29" s="13">
        <v>240</v>
      </c>
      <c r="J29" s="13">
        <v>240</v>
      </c>
      <c r="K29" s="13">
        <v>240</v>
      </c>
    </row>
    <row r="30" spans="2:11" x14ac:dyDescent="0.25">
      <c r="B30" s="3" t="s">
        <v>25</v>
      </c>
      <c r="C30" s="3" t="s">
        <v>35</v>
      </c>
      <c r="D30" s="12">
        <v>1200</v>
      </c>
      <c r="E30" s="13">
        <v>1332</v>
      </c>
      <c r="F30" s="13">
        <v>1383</v>
      </c>
      <c r="G30" s="13">
        <v>1575</v>
      </c>
      <c r="H30" s="13">
        <v>2421</v>
      </c>
      <c r="I30" s="13">
        <f>2421+605</f>
        <v>3026</v>
      </c>
      <c r="J30" s="13">
        <v>2421</v>
      </c>
      <c r="K30" s="13">
        <v>2421</v>
      </c>
    </row>
    <row r="31" spans="2:11" x14ac:dyDescent="0.25">
      <c r="B31" s="3" t="s">
        <v>26</v>
      </c>
      <c r="C31" s="3" t="s">
        <v>35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</row>
    <row r="32" spans="2:11" ht="27" x14ac:dyDescent="0.25">
      <c r="B32" s="3" t="s">
        <v>27</v>
      </c>
      <c r="C32" s="3" t="s">
        <v>35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</row>
    <row r="33" spans="2:11" x14ac:dyDescent="0.25">
      <c r="B33" s="27" t="s">
        <v>28</v>
      </c>
      <c r="C33" s="3" t="s">
        <v>35</v>
      </c>
      <c r="D33" s="14">
        <f>D6-D16</f>
        <v>-10606.200000000012</v>
      </c>
      <c r="E33" s="14">
        <f t="shared" ref="E33:K33" si="7">E6-E16</f>
        <v>170.10000000000582</v>
      </c>
      <c r="F33" s="14">
        <f t="shared" si="7"/>
        <v>-8025.6999999999825</v>
      </c>
      <c r="G33" s="14">
        <f t="shared" si="7"/>
        <v>-3028.2000000000116</v>
      </c>
      <c r="H33" s="14">
        <f t="shared" si="7"/>
        <v>0</v>
      </c>
      <c r="I33" s="14">
        <f t="shared" si="7"/>
        <v>-5433.9000000000087</v>
      </c>
      <c r="J33" s="14">
        <f t="shared" si="7"/>
        <v>0</v>
      </c>
      <c r="K33" s="14">
        <f t="shared" si="7"/>
        <v>0</v>
      </c>
    </row>
    <row r="34" spans="2:11" ht="40.5" x14ac:dyDescent="0.25">
      <c r="B34" s="27"/>
      <c r="C34" s="3" t="s">
        <v>48</v>
      </c>
      <c r="D34" s="15">
        <f>D33-10812.1</f>
        <v>-21418.30000000001</v>
      </c>
      <c r="E34" s="11">
        <f>E33-D33</f>
        <v>10776.300000000017</v>
      </c>
      <c r="F34" s="11">
        <f t="shared" ref="F34:H34" si="8">F33-E33</f>
        <v>-8195.7999999999884</v>
      </c>
      <c r="G34" s="11">
        <f t="shared" si="8"/>
        <v>4997.4999999999709</v>
      </c>
      <c r="H34" s="11">
        <f t="shared" si="8"/>
        <v>3028.2000000000116</v>
      </c>
      <c r="I34" s="11">
        <f>I33-G33</f>
        <v>-2405.6999999999971</v>
      </c>
      <c r="J34" s="11">
        <f>J33-H33</f>
        <v>0</v>
      </c>
      <c r="K34" s="11">
        <f>K33-J33</f>
        <v>0</v>
      </c>
    </row>
    <row r="35" spans="2:11" hidden="1" x14ac:dyDescent="0.25">
      <c r="B35" s="27" t="s">
        <v>29</v>
      </c>
      <c r="C35" s="3" t="s">
        <v>35</v>
      </c>
      <c r="D35" s="4"/>
      <c r="E35" s="5"/>
      <c r="F35" s="5"/>
      <c r="G35" s="5"/>
      <c r="H35" s="5"/>
      <c r="I35" s="5"/>
      <c r="J35" s="5"/>
      <c r="K35" s="5"/>
    </row>
    <row r="36" spans="2:11" ht="54" hidden="1" customHeight="1" x14ac:dyDescent="0.25">
      <c r="B36" s="27"/>
      <c r="C36" s="3" t="s">
        <v>34</v>
      </c>
      <c r="D36" s="4"/>
      <c r="E36" s="5"/>
      <c r="F36" s="5"/>
      <c r="G36" s="5"/>
      <c r="H36" s="5"/>
      <c r="I36" s="5"/>
      <c r="J36" s="5"/>
      <c r="K36" s="5"/>
    </row>
    <row r="37" spans="2:11" ht="27" x14ac:dyDescent="0.25">
      <c r="B37" s="3" t="s">
        <v>30</v>
      </c>
      <c r="C37" s="6" t="s">
        <v>36</v>
      </c>
      <c r="D37" s="18">
        <f>ROUND(D6/D4*1000,0)</f>
        <v>26323</v>
      </c>
      <c r="E37" s="18">
        <f>ROUND(E6/E4*1000,0)</f>
        <v>25245</v>
      </c>
      <c r="F37" s="18">
        <f t="shared" ref="F37:K37" si="9">ROUND(F6/F4*1000,0)</f>
        <v>23725</v>
      </c>
      <c r="G37" s="18">
        <f t="shared" si="9"/>
        <v>25904</v>
      </c>
      <c r="H37" s="18">
        <f t="shared" si="9"/>
        <v>18381</v>
      </c>
      <c r="I37" s="18">
        <f t="shared" si="9"/>
        <v>21161</v>
      </c>
      <c r="J37" s="18">
        <f t="shared" si="9"/>
        <v>14604</v>
      </c>
      <c r="K37" s="18">
        <f t="shared" si="9"/>
        <v>16438</v>
      </c>
    </row>
    <row r="38" spans="2:11" ht="27" x14ac:dyDescent="0.25">
      <c r="B38" s="3" t="s">
        <v>31</v>
      </c>
      <c r="C38" s="6" t="s">
        <v>36</v>
      </c>
      <c r="D38" s="18">
        <f>ROUND(D16/D4*1000,0)</f>
        <v>28379</v>
      </c>
      <c r="E38" s="18">
        <f t="shared" ref="E38:K38" si="10">ROUND(E16/E4*1000,0)</f>
        <v>25212</v>
      </c>
      <c r="F38" s="18">
        <f t="shared" si="10"/>
        <v>25306</v>
      </c>
      <c r="G38" s="18">
        <f t="shared" si="10"/>
        <v>26502</v>
      </c>
      <c r="H38" s="18">
        <f t="shared" si="10"/>
        <v>18381</v>
      </c>
      <c r="I38" s="18">
        <f t="shared" si="10"/>
        <v>22234</v>
      </c>
      <c r="J38" s="18">
        <f t="shared" si="10"/>
        <v>14604</v>
      </c>
      <c r="K38" s="18">
        <f t="shared" si="10"/>
        <v>16438</v>
      </c>
    </row>
    <row r="39" spans="2:11" ht="27" x14ac:dyDescent="0.25">
      <c r="B39" s="3" t="s">
        <v>50</v>
      </c>
      <c r="C39" s="3" t="s">
        <v>36</v>
      </c>
      <c r="D39" s="19">
        <v>30603</v>
      </c>
      <c r="E39" s="20">
        <v>43052</v>
      </c>
      <c r="F39" s="21">
        <v>47425.3</v>
      </c>
      <c r="G39" s="21">
        <v>49525.599999999999</v>
      </c>
      <c r="H39" s="21">
        <v>50000</v>
      </c>
      <c r="I39" s="21">
        <v>50000</v>
      </c>
      <c r="J39" s="21">
        <v>50000</v>
      </c>
      <c r="K39" s="21">
        <v>50000</v>
      </c>
    </row>
    <row r="40" spans="2:11" ht="54" x14ac:dyDescent="0.25">
      <c r="B40" s="3" t="s">
        <v>46</v>
      </c>
      <c r="C40" s="3" t="s">
        <v>36</v>
      </c>
      <c r="D40" s="19">
        <v>57536.5</v>
      </c>
      <c r="E40" s="22">
        <v>59751.3</v>
      </c>
      <c r="F40" s="23">
        <v>58790.69</v>
      </c>
      <c r="G40" s="21">
        <v>58000</v>
      </c>
      <c r="H40" s="21">
        <v>58000</v>
      </c>
      <c r="I40" s="21">
        <v>58000</v>
      </c>
      <c r="J40" s="21">
        <v>58000</v>
      </c>
      <c r="K40" s="21">
        <v>58000</v>
      </c>
    </row>
    <row r="41" spans="2:11" ht="40.5" x14ac:dyDescent="0.25">
      <c r="B41" s="3" t="s">
        <v>47</v>
      </c>
      <c r="C41" s="3" t="s">
        <v>36</v>
      </c>
      <c r="D41" s="19">
        <v>35102.03</v>
      </c>
      <c r="E41" s="21">
        <v>38043.9</v>
      </c>
      <c r="F41" s="21">
        <v>40365.1</v>
      </c>
      <c r="G41" s="21">
        <v>38683.230000000003</v>
      </c>
      <c r="H41" s="21">
        <v>36063.1</v>
      </c>
      <c r="I41" s="21">
        <v>36063.1</v>
      </c>
      <c r="J41" s="21">
        <v>46421.8</v>
      </c>
      <c r="K41" s="21">
        <v>46421.8</v>
      </c>
    </row>
  </sheetData>
  <mergeCells count="12">
    <mergeCell ref="B35:B36"/>
    <mergeCell ref="J3:K3"/>
    <mergeCell ref="D2:D3"/>
    <mergeCell ref="E2:E3"/>
    <mergeCell ref="F2:F3"/>
    <mergeCell ref="G2:G3"/>
    <mergeCell ref="H2:I2"/>
    <mergeCell ref="C2:C3"/>
    <mergeCell ref="B2:B3"/>
    <mergeCell ref="B6:B7"/>
    <mergeCell ref="B16:B17"/>
    <mergeCell ref="B33:B3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 01.04.2017</vt:lpstr>
      <vt:lpstr>на 01.07.2017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2017-07-20T06:30:50Z</dcterms:modified>
</cp:coreProperties>
</file>